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showHorizontalScroll="0" showVerticalScroll="0" showSheetTabs="0" xWindow="0" yWindow="255" windowWidth="12000" windowHeight="6480"/>
  </bookViews>
  <sheets>
    <sheet name="WBWorksheet" sheetId="1" r:id="rId1"/>
  </sheets>
  <definedNames>
    <definedName name="_xlnm.Print_Area" localSheetId="0">WBWorksheet!$A$1:$K$28</definedName>
  </definedNames>
  <calcPr calcId="145621"/>
</workbook>
</file>

<file path=xl/calcChain.xml><?xml version="1.0" encoding="utf-8"?>
<calcChain xmlns="http://schemas.openxmlformats.org/spreadsheetml/2006/main">
  <c r="D11" i="1" l="1"/>
  <c r="F11" i="1" s="1"/>
  <c r="B17" i="1"/>
  <c r="C5" i="1"/>
  <c r="D5" i="1" s="1"/>
  <c r="H19" i="1" s="1"/>
  <c r="H20" i="1" s="1"/>
  <c r="D12" i="1"/>
  <c r="F12" i="1" s="1"/>
  <c r="D10" i="1"/>
  <c r="F10" i="1" s="1"/>
  <c r="D9" i="1"/>
  <c r="F9" i="1" s="1"/>
  <c r="D8" i="1"/>
  <c r="F8" i="1" s="1"/>
  <c r="D7" i="1"/>
  <c r="F7" i="1" s="1"/>
  <c r="D6" i="1"/>
  <c r="F6" i="1" s="1"/>
  <c r="F5" i="1"/>
  <c r="J19" i="1" s="1"/>
  <c r="B19" i="1"/>
  <c r="H8" i="1"/>
  <c r="F13" i="1" l="1"/>
  <c r="J20" i="1"/>
  <c r="I19" i="1"/>
  <c r="H21" i="1"/>
  <c r="H22" i="1" s="1"/>
  <c r="H23" i="1" s="1"/>
  <c r="H24" i="1" s="1"/>
  <c r="H25" i="1" s="1"/>
  <c r="H26" i="1" s="1"/>
  <c r="D13" i="1" s="1"/>
  <c r="B16" i="1" s="1"/>
  <c r="E5" i="1"/>
  <c r="C14" i="1" l="1"/>
  <c r="E13" i="1"/>
  <c r="E26" i="1" s="1"/>
  <c r="B14" i="1"/>
  <c r="J21" i="1"/>
  <c r="I20" i="1"/>
  <c r="E25" i="1" l="1"/>
  <c r="E24" i="1"/>
  <c r="B18" i="1" s="1"/>
  <c r="I21" i="1"/>
  <c r="J22" i="1"/>
  <c r="I22" i="1" l="1"/>
  <c r="J23" i="1"/>
  <c r="I23" i="1" l="1"/>
  <c r="J24" i="1"/>
  <c r="J25" i="1" l="1"/>
  <c r="I24" i="1"/>
  <c r="J26" i="1" l="1"/>
  <c r="I26" i="1" s="1"/>
  <c r="I25" i="1"/>
</calcChain>
</file>

<file path=xl/sharedStrings.xml><?xml version="1.0" encoding="utf-8"?>
<sst xmlns="http://schemas.openxmlformats.org/spreadsheetml/2006/main" count="47" uniqueCount="47">
  <si>
    <t>Qty</t>
  </si>
  <si>
    <t>Weight</t>
  </si>
  <si>
    <t>Arm</t>
  </si>
  <si>
    <t>Moment</t>
  </si>
  <si>
    <t>Basic Empty Weight</t>
  </si>
  <si>
    <t>Pilot</t>
  </si>
  <si>
    <t>Co-Pilot</t>
  </si>
  <si>
    <t xml:space="preserve"> </t>
  </si>
  <si>
    <t>= CG, Wgt 1st point in envelope</t>
  </si>
  <si>
    <t>= CG, Wgt 2nd point in envelope</t>
  </si>
  <si>
    <t>= CG, Wgt 3rd point in envelope</t>
  </si>
  <si>
    <t>= CG, Wgt 4th point in envelope</t>
  </si>
  <si>
    <t>= C.G. too far fwd</t>
  </si>
  <si>
    <t>= C.G. fwd of 2nd segment</t>
  </si>
  <si>
    <t>= C.G. fwd of 3nd segment</t>
  </si>
  <si>
    <t>Weight and Balance Worksheet</t>
  </si>
  <si>
    <t>= Useful load</t>
  </si>
  <si>
    <t>= Maximum gross weight</t>
  </si>
  <si>
    <t>= Basic empty weight</t>
  </si>
  <si>
    <t>= Baggage maximum</t>
  </si>
  <si>
    <t>= CG, Wgt 5th point in envelope</t>
  </si>
  <si>
    <t>Aircraft Specifications</t>
  </si>
  <si>
    <t>= CG, Wgt 1st point in 2nd envelope</t>
  </si>
  <si>
    <t>= CG, Wgt 2nd point in 2nd envelope</t>
  </si>
  <si>
    <t>= CG, Wgt 3rd point in 2nd envelope</t>
  </si>
  <si>
    <t>Rear Passenger 1</t>
  </si>
  <si>
    <t>Rear Passenger 2</t>
  </si>
  <si>
    <t>V speeds (units in KIAS)</t>
  </si>
  <si>
    <t>= Aircraft Moment</t>
  </si>
  <si>
    <t>= Fuel max gal</t>
  </si>
  <si>
    <t>Vne= 163</t>
  </si>
  <si>
    <t>Vno= 129</t>
  </si>
  <si>
    <t>Vfe= 85</t>
  </si>
  <si>
    <t>Vs= 44</t>
  </si>
  <si>
    <t>Vso= 33</t>
  </si>
  <si>
    <t>Best glide speed= 65</t>
  </si>
  <si>
    <t>Warnings:</t>
  </si>
  <si>
    <t>Totals</t>
  </si>
  <si>
    <t>Rotate= 55</t>
  </si>
  <si>
    <t>Vy= 79</t>
  </si>
  <si>
    <t>Vx= 60</t>
  </si>
  <si>
    <t>A2A Cessna 172R</t>
  </si>
  <si>
    <t>Va= 99-82</t>
  </si>
  <si>
    <t>Fuel  Gal. (56 Max)</t>
  </si>
  <si>
    <t>Oil *</t>
  </si>
  <si>
    <t>Baggage Area 1</t>
  </si>
  <si>
    <t>* 1 US Quart = ~0,25 lbs  &gt;&gt;&gt;  6 US Quarts = 1,5lbs  (use "," comma)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</si>
</sst>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[Red]0.0"/>
  </numFmts>
  <fonts count="22" x14ac:knownFonts="1">
    <font>
      <sz val="10"/>
      <name val="MS Sans Serif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32"/>
      <name val="Arial"/>
      <family val="2"/>
    </font>
    <font>
      <sz val="8"/>
      <color indexed="20"/>
      <name val="Arial"/>
      <family val="2"/>
    </font>
    <font>
      <b/>
      <sz val="8"/>
      <color indexed="20"/>
      <name val="Arial"/>
      <family val="2"/>
    </font>
    <font>
      <b/>
      <sz val="18"/>
      <color indexed="18"/>
      <name val="Arial"/>
      <family val="2"/>
    </font>
    <font>
      <sz val="12"/>
      <color indexed="18"/>
      <name val="Arial"/>
      <family val="2"/>
    </font>
    <font>
      <i/>
      <sz val="8"/>
      <color indexed="18"/>
      <name val="Arial"/>
      <family val="2"/>
    </font>
    <font>
      <i/>
      <sz val="10"/>
      <color indexed="18"/>
      <name val="MS Sans Serif"/>
      <family val="2"/>
      <charset val="238"/>
    </font>
    <font>
      <sz val="8"/>
      <color indexed="58"/>
      <name val="Arial"/>
      <family val="2"/>
    </font>
    <font>
      <sz val="10"/>
      <name val="MS Sans Serif"/>
      <family val="2"/>
    </font>
    <font>
      <sz val="8"/>
      <color indexed="22"/>
      <name val="Arial"/>
      <family val="2"/>
    </font>
    <font>
      <sz val="10"/>
      <name val="Times New Roman"/>
      <family val="1"/>
    </font>
    <font>
      <sz val="8"/>
      <color indexed="10"/>
      <name val="Arial"/>
      <family val="2"/>
    </font>
    <font>
      <sz val="8"/>
      <color rgb="FF009900"/>
      <name val="Arial"/>
      <family val="2"/>
    </font>
    <font>
      <sz val="8"/>
      <color theme="0" tint="-0.249977111117893"/>
      <name val="Arial"/>
      <family val="2"/>
    </font>
    <font>
      <b/>
      <sz val="8"/>
      <color theme="0" tint="-0.249977111117893"/>
      <name val="Arial"/>
      <family val="2"/>
    </font>
    <font>
      <sz val="10"/>
      <color theme="0" tint="-0.249977111117893"/>
      <name val="MS Sans Serif"/>
      <family val="2"/>
      <charset val="238"/>
    </font>
    <font>
      <sz val="10"/>
      <color theme="0" tint="-0.249977111117893"/>
      <name val="MS Sans Serif"/>
      <family val="2"/>
    </font>
    <font>
      <sz val="8"/>
      <color rgb="FF0099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Protection="1"/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Protection="1"/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left"/>
    </xf>
    <xf numFmtId="0" fontId="8" fillId="2" borderId="0" xfId="0" applyFont="1" applyFill="1" applyAlignment="1" applyProtection="1">
      <alignment horizontal="left"/>
    </xf>
    <xf numFmtId="0" fontId="2" fillId="2" borderId="1" xfId="0" applyFont="1" applyFill="1" applyBorder="1" applyAlignment="1" applyProtection="1">
      <alignment horizontal="left"/>
    </xf>
    <xf numFmtId="0" fontId="1" fillId="2" borderId="2" xfId="0" applyFont="1" applyFill="1" applyBorder="1" applyAlignment="1" applyProtection="1">
      <alignment horizontal="left"/>
    </xf>
    <xf numFmtId="0" fontId="11" fillId="0" borderId="0" xfId="0" applyFont="1" applyFill="1" applyProtection="1">
      <protection locked="0"/>
    </xf>
    <xf numFmtId="0" fontId="1" fillId="2" borderId="3" xfId="0" applyFont="1" applyFill="1" applyBorder="1" applyProtection="1"/>
    <xf numFmtId="0" fontId="9" fillId="2" borderId="0" xfId="0" applyFont="1" applyFill="1" applyAlignment="1" applyProtection="1">
      <alignment horizontal="left"/>
    </xf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2" fillId="2" borderId="0" xfId="0" applyFont="1" applyFill="1" applyProtection="1"/>
    <xf numFmtId="164" fontId="1" fillId="2" borderId="0" xfId="0" applyNumberFormat="1" applyFont="1" applyFill="1" applyProtection="1"/>
    <xf numFmtId="0" fontId="1" fillId="2" borderId="0" xfId="0" quotePrefix="1" applyFont="1" applyFill="1" applyProtection="1"/>
    <xf numFmtId="0" fontId="4" fillId="2" borderId="0" xfId="0" applyFont="1" applyFill="1" applyProtection="1"/>
    <xf numFmtId="164" fontId="4" fillId="2" borderId="0" xfId="0" applyNumberFormat="1" applyFont="1" applyFill="1" applyProtection="1"/>
    <xf numFmtId="0" fontId="11" fillId="2" borderId="0" xfId="0" applyFont="1" applyFill="1" applyProtection="1"/>
    <xf numFmtId="164" fontId="11" fillId="2" borderId="0" xfId="0" applyNumberFormat="1" applyFont="1" applyFill="1" applyProtection="1"/>
    <xf numFmtId="0" fontId="5" fillId="2" borderId="0" xfId="0" applyFont="1" applyFill="1" applyProtection="1"/>
    <xf numFmtId="164" fontId="5" fillId="2" borderId="0" xfId="0" applyNumberFormat="1" applyFont="1" applyFill="1" applyProtection="1"/>
    <xf numFmtId="1" fontId="1" fillId="2" borderId="0" xfId="0" applyNumberFormat="1" applyFont="1" applyFill="1" applyProtection="1"/>
    <xf numFmtId="0" fontId="1" fillId="2" borderId="6" xfId="0" applyFont="1" applyFill="1" applyBorder="1" applyProtection="1"/>
    <xf numFmtId="0" fontId="13" fillId="2" borderId="0" xfId="0" applyFont="1" applyFill="1" applyProtection="1"/>
    <xf numFmtId="0" fontId="13" fillId="2" borderId="0" xfId="0" quotePrefix="1" applyFont="1" applyFill="1" applyAlignment="1" applyProtection="1">
      <alignment wrapText="1"/>
    </xf>
    <xf numFmtId="0" fontId="10" fillId="2" borderId="0" xfId="0" applyFont="1" applyFill="1" applyAlignment="1" applyProtection="1">
      <alignment horizontal="left"/>
    </xf>
    <xf numFmtId="0" fontId="0" fillId="2" borderId="0" xfId="0" applyFill="1" applyAlignment="1" applyProtection="1"/>
    <xf numFmtId="0" fontId="9" fillId="2" borderId="0" xfId="0" applyFont="1" applyFill="1" applyAlignment="1"/>
    <xf numFmtId="0" fontId="6" fillId="2" borderId="0" xfId="0" applyFont="1" applyFill="1" applyAlignment="1" applyProtection="1"/>
    <xf numFmtId="0" fontId="0" fillId="2" borderId="7" xfId="0" applyFill="1" applyBorder="1" applyAlignment="1" applyProtection="1">
      <alignment horizontal="left"/>
    </xf>
    <xf numFmtId="0" fontId="1" fillId="2" borderId="8" xfId="0" applyFont="1" applyFill="1" applyBorder="1" applyProtection="1"/>
    <xf numFmtId="0" fontId="1" fillId="2" borderId="0" xfId="0" applyFont="1" applyFill="1" applyBorder="1" applyAlignment="1" applyProtection="1">
      <alignment horizontal="left"/>
    </xf>
    <xf numFmtId="0" fontId="1" fillId="2" borderId="9" xfId="0" applyFont="1" applyFill="1" applyBorder="1" applyProtection="1"/>
    <xf numFmtId="0" fontId="1" fillId="2" borderId="10" xfId="0" applyFont="1" applyFill="1" applyBorder="1" applyProtection="1"/>
    <xf numFmtId="0" fontId="15" fillId="2" borderId="11" xfId="0" applyFont="1" applyFill="1" applyBorder="1" applyAlignment="1" applyProtection="1">
      <alignment horizontal="left"/>
    </xf>
    <xf numFmtId="0" fontId="1" fillId="2" borderId="12" xfId="0" applyFont="1" applyFill="1" applyBorder="1" applyProtection="1"/>
    <xf numFmtId="0" fontId="3" fillId="2" borderId="13" xfId="0" applyFont="1" applyFill="1" applyBorder="1" applyProtection="1"/>
    <xf numFmtId="0" fontId="1" fillId="2" borderId="0" xfId="0" applyFont="1" applyFill="1" applyBorder="1" applyProtection="1"/>
    <xf numFmtId="2" fontId="1" fillId="2" borderId="0" xfId="0" applyNumberFormat="1" applyFont="1" applyFill="1" applyBorder="1" applyProtection="1"/>
    <xf numFmtId="2" fontId="1" fillId="2" borderId="14" xfId="0" applyNumberFormat="1" applyFont="1" applyFill="1" applyBorder="1" applyProtection="1"/>
    <xf numFmtId="0" fontId="1" fillId="2" borderId="14" xfId="0" applyFont="1" applyFill="1" applyBorder="1" applyProtection="1"/>
    <xf numFmtId="0" fontId="3" fillId="2" borderId="15" xfId="0" applyFont="1" applyFill="1" applyBorder="1" applyProtection="1"/>
    <xf numFmtId="2" fontId="1" fillId="2" borderId="5" xfId="0" applyNumberFormat="1" applyFont="1" applyFill="1" applyBorder="1" applyProtection="1"/>
    <xf numFmtId="2" fontId="1" fillId="2" borderId="16" xfId="0" applyNumberFormat="1" applyFont="1" applyFill="1" applyBorder="1" applyProtection="1"/>
    <xf numFmtId="0" fontId="14" fillId="2" borderId="0" xfId="0" applyFont="1" applyFill="1" applyProtection="1"/>
    <xf numFmtId="1" fontId="12" fillId="2" borderId="0" xfId="0" applyNumberFormat="1" applyFont="1" applyFill="1" applyAlignment="1" applyProtection="1"/>
    <xf numFmtId="0" fontId="1" fillId="2" borderId="13" xfId="0" applyFont="1" applyFill="1" applyBorder="1" applyProtection="1"/>
    <xf numFmtId="0" fontId="4" fillId="2" borderId="13" xfId="0" applyFont="1" applyFill="1" applyBorder="1" applyProtection="1"/>
    <xf numFmtId="0" fontId="11" fillId="2" borderId="13" xfId="0" applyFont="1" applyFill="1" applyBorder="1" applyProtection="1"/>
    <xf numFmtId="0" fontId="5" fillId="2" borderId="13" xfId="0" applyFont="1" applyFill="1" applyBorder="1" applyProtection="1"/>
    <xf numFmtId="0" fontId="1" fillId="2" borderId="17" xfId="0" applyFont="1" applyFill="1" applyBorder="1" applyProtection="1"/>
    <xf numFmtId="3" fontId="1" fillId="2" borderId="14" xfId="0" applyNumberFormat="1" applyFont="1" applyFill="1" applyBorder="1" applyProtection="1"/>
    <xf numFmtId="3" fontId="4" fillId="2" borderId="14" xfId="0" applyNumberFormat="1" applyFont="1" applyFill="1" applyBorder="1" applyProtection="1"/>
    <xf numFmtId="3" fontId="11" fillId="2" borderId="14" xfId="0" applyNumberFormat="1" applyFont="1" applyFill="1" applyBorder="1" applyProtection="1"/>
    <xf numFmtId="3" fontId="5" fillId="2" borderId="14" xfId="0" applyNumberFormat="1" applyFont="1" applyFill="1" applyBorder="1" applyProtection="1"/>
    <xf numFmtId="0" fontId="2" fillId="2" borderId="0" xfId="0" applyFont="1" applyFill="1" applyBorder="1" applyAlignment="1" applyProtection="1">
      <alignment horizontal="right"/>
    </xf>
    <xf numFmtId="3" fontId="1" fillId="2" borderId="0" xfId="0" applyNumberFormat="1" applyFont="1" applyFill="1" applyBorder="1" applyProtection="1"/>
    <xf numFmtId="3" fontId="4" fillId="2" borderId="0" xfId="0" applyNumberFormat="1" applyFont="1" applyFill="1" applyBorder="1" applyProtection="1"/>
    <xf numFmtId="3" fontId="11" fillId="2" borderId="0" xfId="0" applyNumberFormat="1" applyFont="1" applyFill="1" applyBorder="1" applyProtection="1"/>
    <xf numFmtId="3" fontId="5" fillId="2" borderId="0" xfId="0" applyNumberFormat="1" applyFont="1" applyFill="1" applyBorder="1" applyProtection="1"/>
    <xf numFmtId="0" fontId="2" fillId="2" borderId="18" xfId="0" applyFont="1" applyFill="1" applyBorder="1" applyAlignment="1" applyProtection="1">
      <alignment horizontal="right"/>
    </xf>
    <xf numFmtId="0" fontId="2" fillId="2" borderId="19" xfId="0" applyFont="1" applyFill="1" applyBorder="1" applyAlignment="1" applyProtection="1">
      <alignment horizontal="right"/>
    </xf>
    <xf numFmtId="0" fontId="1" fillId="2" borderId="13" xfId="0" applyFont="1" applyFill="1" applyBorder="1" applyAlignment="1" applyProtection="1"/>
    <xf numFmtId="165" fontId="1" fillId="2" borderId="14" xfId="0" applyNumberFormat="1" applyFont="1" applyFill="1" applyBorder="1" applyProtection="1"/>
    <xf numFmtId="0" fontId="1" fillId="2" borderId="18" xfId="0" applyFont="1" applyFill="1" applyBorder="1" applyAlignment="1" applyProtection="1">
      <alignment horizontal="left"/>
    </xf>
    <xf numFmtId="0" fontId="1" fillId="2" borderId="18" xfId="0" applyFont="1" applyFill="1" applyBorder="1" applyProtection="1"/>
    <xf numFmtId="164" fontId="1" fillId="2" borderId="18" xfId="0" applyNumberFormat="1" applyFont="1" applyFill="1" applyBorder="1" applyProtection="1"/>
    <xf numFmtId="3" fontId="1" fillId="2" borderId="19" xfId="0" applyNumberFormat="1" applyFont="1" applyFill="1" applyBorder="1" applyProtection="1"/>
    <xf numFmtId="0" fontId="16" fillId="2" borderId="13" xfId="0" applyFont="1" applyFill="1" applyBorder="1" applyProtection="1"/>
    <xf numFmtId="0" fontId="16" fillId="0" borderId="0" xfId="0" applyFont="1" applyFill="1" applyProtection="1">
      <protection locked="0"/>
    </xf>
    <xf numFmtId="0" fontId="16" fillId="2" borderId="0" xfId="0" applyFont="1" applyFill="1" applyProtection="1"/>
    <xf numFmtId="164" fontId="16" fillId="2" borderId="0" xfId="0" applyNumberFormat="1" applyFont="1" applyFill="1" applyProtection="1"/>
    <xf numFmtId="3" fontId="16" fillId="2" borderId="14" xfId="0" applyNumberFormat="1" applyFont="1" applyFill="1" applyBorder="1" applyProtection="1"/>
    <xf numFmtId="3" fontId="17" fillId="2" borderId="0" xfId="0" applyNumberFormat="1" applyFont="1" applyFill="1" applyBorder="1" applyProtection="1"/>
    <xf numFmtId="1" fontId="17" fillId="2" borderId="0" xfId="0" applyNumberFormat="1" applyFont="1" applyFill="1" applyProtection="1"/>
    <xf numFmtId="0" fontId="17" fillId="2" borderId="0" xfId="0" applyFont="1" applyFill="1" applyProtection="1"/>
    <xf numFmtId="0" fontId="17" fillId="2" borderId="0" xfId="0" quotePrefix="1" applyFont="1" applyFill="1" applyAlignment="1" applyProtection="1">
      <alignment wrapText="1"/>
    </xf>
    <xf numFmtId="0" fontId="17" fillId="2" borderId="0" xfId="0" applyFont="1" applyFill="1" applyBorder="1" applyProtection="1"/>
    <xf numFmtId="2" fontId="17" fillId="2" borderId="0" xfId="0" applyNumberFormat="1" applyFont="1" applyFill="1" applyBorder="1" applyProtection="1"/>
    <xf numFmtId="2" fontId="17" fillId="2" borderId="0" xfId="0" applyNumberFormat="1" applyFont="1" applyFill="1" applyProtection="1"/>
    <xf numFmtId="0" fontId="18" fillId="2" borderId="0" xfId="0" applyFont="1" applyFill="1" applyAlignment="1" applyProtection="1"/>
    <xf numFmtId="0" fontId="19" fillId="2" borderId="0" xfId="0" applyFont="1" applyFill="1" applyAlignment="1" applyProtection="1"/>
    <xf numFmtId="1" fontId="20" fillId="2" borderId="0" xfId="0" applyNumberFormat="1" applyFont="1" applyFill="1" applyAlignment="1" applyProtection="1"/>
    <xf numFmtId="0" fontId="21" fillId="2" borderId="0" xfId="0" applyFont="1" applyFill="1" applyAlignment="1" applyProtection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63905325443787"/>
          <c:y val="4.2042165335741996E-2"/>
          <c:w val="0.79585798816568043"/>
          <c:h val="0.73573789337548501"/>
        </c:manualLayout>
      </c:layout>
      <c:scatterChart>
        <c:scatterStyle val="lineMarker"/>
        <c:varyColors val="0"/>
        <c:ser>
          <c:idx val="0"/>
          <c:order val="0"/>
          <c:tx>
            <c:v>Envelope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2"/>
            <c:spPr>
              <a:noFill/>
              <a:ln w="9525">
                <a:noFill/>
              </a:ln>
            </c:spPr>
          </c:marker>
          <c:xVal>
            <c:numRef>
              <c:f>WBWorksheet!$H$11:$H$15</c:f>
              <c:numCache>
                <c:formatCode>0</c:formatCode>
                <c:ptCount val="5"/>
                <c:pt idx="0">
                  <c:v>35</c:v>
                </c:pt>
                <c:pt idx="1">
                  <c:v>35</c:v>
                </c:pt>
                <c:pt idx="2">
                  <c:v>40</c:v>
                </c:pt>
                <c:pt idx="3">
                  <c:v>47.3</c:v>
                </c:pt>
                <c:pt idx="4">
                  <c:v>47.3</c:v>
                </c:pt>
              </c:numCache>
            </c:numRef>
          </c:xVal>
          <c:yVal>
            <c:numRef>
              <c:f>WBWorksheet!$I$11:$I$15</c:f>
              <c:numCache>
                <c:formatCode>General</c:formatCode>
                <c:ptCount val="5"/>
                <c:pt idx="0">
                  <c:v>1500</c:v>
                </c:pt>
                <c:pt idx="1">
                  <c:v>1950</c:v>
                </c:pt>
                <c:pt idx="2">
                  <c:v>2450</c:v>
                </c:pt>
                <c:pt idx="3">
                  <c:v>2450</c:v>
                </c:pt>
                <c:pt idx="4">
                  <c:v>1500</c:v>
                </c:pt>
              </c:numCache>
            </c:numRef>
          </c:yVal>
          <c:smooth val="0"/>
        </c:ser>
        <c:ser>
          <c:idx val="9"/>
          <c:order val="1"/>
          <c:tx>
            <c:v>envelope2</c:v>
          </c:tx>
          <c:spPr>
            <a:ln w="25400">
              <a:solidFill>
                <a:srgbClr val="800000"/>
              </a:solidFill>
              <a:prstDash val="sysDash"/>
            </a:ln>
          </c:spPr>
          <c:marker>
            <c:symbol val="none"/>
          </c:marker>
          <c:xVal>
            <c:numRef>
              <c:f>WBWorksheet!$H$16:$H$18</c:f>
              <c:numCache>
                <c:formatCode>0</c:formatCode>
                <c:ptCount val="3"/>
                <c:pt idx="0">
                  <c:v>36.5</c:v>
                </c:pt>
                <c:pt idx="1">
                  <c:v>40.5</c:v>
                </c:pt>
                <c:pt idx="2">
                  <c:v>40.5</c:v>
                </c:pt>
              </c:numCache>
            </c:numRef>
          </c:xVal>
          <c:yVal>
            <c:numRef>
              <c:f>WBWorksheet!$I$16:$I$18</c:f>
              <c:numCache>
                <c:formatCode>General</c:formatCode>
                <c:ptCount val="3"/>
                <c:pt idx="0">
                  <c:v>2100</c:v>
                </c:pt>
                <c:pt idx="1">
                  <c:v>2100</c:v>
                </c:pt>
                <c:pt idx="2">
                  <c:v>1500</c:v>
                </c:pt>
              </c:numCache>
            </c:numRef>
          </c:yVal>
          <c:smooth val="0"/>
        </c:ser>
        <c:ser>
          <c:idx val="2"/>
          <c:order val="2"/>
          <c:tx>
            <c:v>Basic Empty Weight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WBWorksheet!$E$5</c:f>
              <c:numCache>
                <c:formatCode>0.0</c:formatCode>
                <c:ptCount val="1"/>
                <c:pt idx="0">
                  <c:v>39.092922513727885</c:v>
                </c:pt>
              </c:numCache>
            </c:numRef>
          </c:xVal>
          <c:yVal>
            <c:numRef>
              <c:f>WBWorksheet!$D$5</c:f>
              <c:numCache>
                <c:formatCode>0.0</c:formatCode>
                <c:ptCount val="1"/>
                <c:pt idx="0">
                  <c:v>1639</c:v>
                </c:pt>
              </c:numCache>
            </c:numRef>
          </c:yVal>
          <c:smooth val="0"/>
        </c:ser>
        <c:ser>
          <c:idx val="3"/>
          <c:order val="3"/>
          <c:tx>
            <c:v>Passengers</c:v>
          </c:tx>
          <c:spPr>
            <a:ln w="25400">
              <a:solidFill>
                <a:srgbClr val="3333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WBWorksheet!$I$21:$I$23</c:f>
              <c:numCache>
                <c:formatCode>0.00</c:formatCode>
                <c:ptCount val="3"/>
                <c:pt idx="0">
                  <c:v>38.733350176857002</c:v>
                </c:pt>
                <c:pt idx="1">
                  <c:v>41.444067007910661</c:v>
                </c:pt>
                <c:pt idx="2">
                  <c:v>43.757352307028896</c:v>
                </c:pt>
              </c:numCache>
            </c:numRef>
          </c:xVal>
          <c:yVal>
            <c:numRef>
              <c:f>WBWorksheet!$H$21:$H$23</c:f>
              <c:numCache>
                <c:formatCode>General</c:formatCode>
                <c:ptCount val="3"/>
                <c:pt idx="0">
                  <c:v>1979</c:v>
                </c:pt>
                <c:pt idx="1">
                  <c:v>2149</c:v>
                </c:pt>
                <c:pt idx="2">
                  <c:v>2319</c:v>
                </c:pt>
              </c:numCache>
            </c:numRef>
          </c:yVal>
          <c:smooth val="0"/>
        </c:ser>
        <c:ser>
          <c:idx val="4"/>
          <c:order val="4"/>
          <c:tx>
            <c:v>Baggage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WBWorksheet!$I$23:$I$25</c:f>
              <c:numCache>
                <c:formatCode>0.00</c:formatCode>
                <c:ptCount val="3"/>
                <c:pt idx="0">
                  <c:v>43.757352307028896</c:v>
                </c:pt>
                <c:pt idx="1">
                  <c:v>43.977372262773727</c:v>
                </c:pt>
                <c:pt idx="2">
                  <c:v>44.011287553648067</c:v>
                </c:pt>
              </c:numCache>
            </c:numRef>
          </c:xVal>
          <c:yVal>
            <c:numRef>
              <c:f>WBWorksheet!$H$23:$H$25</c:f>
              <c:numCache>
                <c:formatCode>General</c:formatCode>
                <c:ptCount val="3"/>
                <c:pt idx="0">
                  <c:v>2319</c:v>
                </c:pt>
                <c:pt idx="1">
                  <c:v>2329</c:v>
                </c:pt>
                <c:pt idx="2">
                  <c:v>2330</c:v>
                </c:pt>
              </c:numCache>
            </c:numRef>
          </c:yVal>
          <c:smooth val="0"/>
        </c:ser>
        <c:ser>
          <c:idx val="5"/>
          <c:order val="5"/>
          <c:tx>
            <c:v>Fuel</c:v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WBWorksheet!$I$25:$I$26</c:f>
              <c:numCache>
                <c:formatCode>0.00</c:formatCode>
                <c:ptCount val="2"/>
                <c:pt idx="0">
                  <c:v>44.011287553648067</c:v>
                </c:pt>
                <c:pt idx="1">
                  <c:v>44.206653061224493</c:v>
                </c:pt>
              </c:numCache>
            </c:numRef>
          </c:xVal>
          <c:yVal>
            <c:numRef>
              <c:f>WBWorksheet!$H$25:$H$26</c:f>
              <c:numCache>
                <c:formatCode>General</c:formatCode>
                <c:ptCount val="2"/>
                <c:pt idx="0">
                  <c:v>2330</c:v>
                </c:pt>
                <c:pt idx="1">
                  <c:v>2450</c:v>
                </c:pt>
              </c:numCache>
            </c:numRef>
          </c:yVal>
          <c:smooth val="0"/>
        </c:ser>
        <c:ser>
          <c:idx val="1"/>
          <c:order val="6"/>
          <c:tx>
            <c:v>Pilot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WBWorksheet!$I$19:$I$21</c:f>
              <c:numCache>
                <c:formatCode>0.00</c:formatCode>
                <c:ptCount val="3"/>
                <c:pt idx="0">
                  <c:v>39.092922513727885</c:v>
                </c:pt>
                <c:pt idx="1">
                  <c:v>38.896241017136539</c:v>
                </c:pt>
                <c:pt idx="2">
                  <c:v>38.733350176857002</c:v>
                </c:pt>
              </c:numCache>
            </c:numRef>
          </c:xVal>
          <c:yVal>
            <c:numRef>
              <c:f>WBWorksheet!$H$19:$H$21</c:f>
              <c:numCache>
                <c:formatCode>General</c:formatCode>
                <c:ptCount val="3"/>
                <c:pt idx="0">
                  <c:v>1639</c:v>
                </c:pt>
                <c:pt idx="1">
                  <c:v>1809</c:v>
                </c:pt>
                <c:pt idx="2">
                  <c:v>1979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690624"/>
        <c:axId val="87693184"/>
      </c:scatterChart>
      <c:valAx>
        <c:axId val="87690624"/>
        <c:scaling>
          <c:orientation val="minMax"/>
          <c:max val="49"/>
          <c:min val="33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pl-PL"/>
                  <a:t>C.G. Location (Inches Aft Datum)</a:t>
                </a:r>
              </a:p>
            </c:rich>
          </c:tx>
          <c:layout>
            <c:manualLayout>
              <c:xMode val="edge"/>
              <c:yMode val="edge"/>
              <c:x val="0.28106508875739644"/>
              <c:y val="0.849852372057096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pl-PL"/>
          </a:p>
        </c:txPr>
        <c:crossAx val="87693184"/>
        <c:crossesAt val="1000"/>
        <c:crossBetween val="midCat"/>
        <c:majorUnit val="1"/>
        <c:minorUnit val="1"/>
      </c:valAx>
      <c:valAx>
        <c:axId val="87693184"/>
        <c:scaling>
          <c:orientation val="minMax"/>
          <c:max val="25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pl-PL"/>
                  <a:t>Aircraft Weight (lbs)</a:t>
                </a:r>
              </a:p>
            </c:rich>
          </c:tx>
          <c:layout>
            <c:manualLayout>
              <c:xMode val="edge"/>
              <c:yMode val="edge"/>
              <c:x val="1.4792899408284023E-2"/>
              <c:y val="0.231231861783042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pl-PL"/>
          </a:p>
        </c:txPr>
        <c:crossAx val="87690624"/>
        <c:crossesAt val="30"/>
        <c:crossBetween val="midCat"/>
        <c:majorUnit val="100"/>
        <c:minorUnit val="5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pl-PL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0</xdr:col>
      <xdr:colOff>3257550</xdr:colOff>
      <xdr:row>18</xdr:row>
      <xdr:rowOff>133350</xdr:rowOff>
    </xdr:to>
    <xdr:graphicFrame macro="">
      <xdr:nvGraphicFramePr>
        <xdr:cNvPr id="105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1143000</xdr:colOff>
      <xdr:row>10</xdr:row>
      <xdr:rowOff>114300</xdr:rowOff>
    </xdr:from>
    <xdr:to>
      <xdr:col>0</xdr:col>
      <xdr:colOff>1552575</xdr:colOff>
      <xdr:row>11</xdr:row>
      <xdr:rowOff>95250</xdr:rowOff>
    </xdr:to>
    <xdr:pic>
      <xdr:nvPicPr>
        <xdr:cNvPr id="1058" name="Picture 10" descr="utility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914525"/>
          <a:ext cx="409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2181225</xdr:colOff>
      <xdr:row>11</xdr:row>
      <xdr:rowOff>9525</xdr:rowOff>
    </xdr:from>
    <xdr:to>
      <xdr:col>0</xdr:col>
      <xdr:colOff>2628900</xdr:colOff>
      <xdr:row>12</xdr:row>
      <xdr:rowOff>0</xdr:rowOff>
    </xdr:to>
    <xdr:pic>
      <xdr:nvPicPr>
        <xdr:cNvPr id="1059" name="Picture 11" descr="normal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971675"/>
          <a:ext cx="447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11</xdr:row>
      <xdr:rowOff>57150</xdr:rowOff>
    </xdr:from>
    <xdr:to>
      <xdr:col>11</xdr:col>
      <xdr:colOff>387988</xdr:colOff>
      <xdr:row>30</xdr:row>
      <xdr:rowOff>28575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0" y="2019300"/>
          <a:ext cx="4188463" cy="30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showOutlineSymbols="0" workbookViewId="0">
      <selection activeCell="C6" sqref="C6:C12"/>
    </sheetView>
  </sheetViews>
  <sheetFormatPr defaultRowHeight="12.75" customHeight="1" x14ac:dyDescent="0.2"/>
  <cols>
    <col min="1" max="1" width="49.7109375" style="1" customWidth="1"/>
    <col min="2" max="2" width="23.7109375" style="1" customWidth="1"/>
    <col min="3" max="9" width="7.7109375" style="1" customWidth="1"/>
    <col min="10" max="10" width="9.42578125" style="1" customWidth="1"/>
    <col min="11" max="11" width="10.140625" style="1" customWidth="1"/>
    <col min="12" max="16384" width="9.140625" style="1"/>
  </cols>
  <sheetData>
    <row r="1" spans="1:11" ht="27" customHeight="1" x14ac:dyDescent="0.35">
      <c r="A1" s="3"/>
      <c r="B1" s="8" t="s">
        <v>41</v>
      </c>
      <c r="C1" s="6"/>
      <c r="D1" s="6"/>
      <c r="E1" s="6"/>
      <c r="F1" s="14"/>
      <c r="G1" s="14"/>
      <c r="H1" s="30"/>
      <c r="I1" s="30"/>
      <c r="J1" s="30"/>
      <c r="K1" s="30"/>
    </row>
    <row r="2" spans="1:11" ht="12.75" customHeight="1" x14ac:dyDescent="0.2">
      <c r="A2" s="3"/>
      <c r="B2" s="9" t="s">
        <v>15</v>
      </c>
      <c r="C2" s="7"/>
      <c r="D2" s="7"/>
      <c r="E2" s="7"/>
      <c r="F2" s="32"/>
      <c r="G2" s="32"/>
      <c r="H2" s="30"/>
      <c r="I2" s="30"/>
      <c r="J2" s="30"/>
      <c r="K2" s="30"/>
    </row>
    <row r="3" spans="1:11" ht="12.75" customHeight="1" x14ac:dyDescent="0.2">
      <c r="A3" s="3"/>
      <c r="B3" s="2"/>
      <c r="C3" s="2"/>
      <c r="D3" s="3"/>
      <c r="E3" s="2"/>
      <c r="F3" s="32"/>
      <c r="G3" s="32"/>
      <c r="H3" s="3"/>
      <c r="I3" s="3"/>
      <c r="J3" s="3"/>
      <c r="K3" s="3"/>
    </row>
    <row r="4" spans="1:11" ht="12.75" customHeight="1" x14ac:dyDescent="0.2">
      <c r="A4" s="3"/>
      <c r="B4" s="55"/>
      <c r="C4" s="65" t="s">
        <v>0</v>
      </c>
      <c r="D4" s="65" t="s">
        <v>1</v>
      </c>
      <c r="E4" s="65" t="s">
        <v>2</v>
      </c>
      <c r="F4" s="66" t="s">
        <v>3</v>
      </c>
      <c r="G4" s="60"/>
      <c r="H4" s="17" t="s">
        <v>21</v>
      </c>
      <c r="I4" s="17"/>
      <c r="J4" s="3"/>
      <c r="K4" s="3"/>
    </row>
    <row r="5" spans="1:11" ht="12.75" customHeight="1" x14ac:dyDescent="0.2">
      <c r="A5" s="3"/>
      <c r="B5" s="51" t="s">
        <v>4</v>
      </c>
      <c r="C5" s="18">
        <f>H6</f>
        <v>1639</v>
      </c>
      <c r="D5" s="18">
        <f t="shared" ref="D5:D11" si="0">C5</f>
        <v>1639</v>
      </c>
      <c r="E5" s="18">
        <f>F5/D5</f>
        <v>39.092922513727885</v>
      </c>
      <c r="F5" s="56">
        <f>H7</f>
        <v>64073.3</v>
      </c>
      <c r="G5" s="61"/>
      <c r="H5" s="18">
        <v>2450</v>
      </c>
      <c r="I5" s="19" t="s">
        <v>17</v>
      </c>
      <c r="J5" s="3"/>
      <c r="K5" s="3"/>
    </row>
    <row r="6" spans="1:11" ht="12.75" customHeight="1" x14ac:dyDescent="0.2">
      <c r="A6" s="3"/>
      <c r="B6" s="52" t="s">
        <v>5</v>
      </c>
      <c r="C6" s="4">
        <v>170</v>
      </c>
      <c r="D6" s="20">
        <f t="shared" si="0"/>
        <v>170</v>
      </c>
      <c r="E6" s="21">
        <v>37</v>
      </c>
      <c r="F6" s="57">
        <f t="shared" ref="F6:F12" si="1">D6*E6</f>
        <v>6290</v>
      </c>
      <c r="G6" s="62"/>
      <c r="H6" s="18">
        <v>1639</v>
      </c>
      <c r="I6" s="19" t="s">
        <v>18</v>
      </c>
      <c r="J6" s="3"/>
      <c r="K6" s="3"/>
    </row>
    <row r="7" spans="1:11" ht="12.75" customHeight="1" x14ac:dyDescent="0.2">
      <c r="A7" s="3"/>
      <c r="B7" s="52" t="s">
        <v>6</v>
      </c>
      <c r="C7" s="4">
        <v>170</v>
      </c>
      <c r="D7" s="20">
        <f t="shared" si="0"/>
        <v>170</v>
      </c>
      <c r="E7" s="21">
        <v>37</v>
      </c>
      <c r="F7" s="57">
        <f t="shared" si="1"/>
        <v>6290</v>
      </c>
      <c r="G7" s="62"/>
      <c r="H7" s="18">
        <v>64073.3</v>
      </c>
      <c r="I7" s="19" t="s">
        <v>28</v>
      </c>
      <c r="J7" s="3"/>
      <c r="K7" s="3"/>
    </row>
    <row r="8" spans="1:11" ht="12.75" customHeight="1" x14ac:dyDescent="0.2">
      <c r="A8" s="3"/>
      <c r="B8" s="53" t="s">
        <v>25</v>
      </c>
      <c r="C8" s="12">
        <v>170</v>
      </c>
      <c r="D8" s="22">
        <f t="shared" si="0"/>
        <v>170</v>
      </c>
      <c r="E8" s="23">
        <v>73</v>
      </c>
      <c r="F8" s="58">
        <f t="shared" si="1"/>
        <v>12410</v>
      </c>
      <c r="G8" s="63"/>
      <c r="H8" s="18">
        <f>H5-H6</f>
        <v>811</v>
      </c>
      <c r="I8" s="19" t="s">
        <v>16</v>
      </c>
      <c r="J8" s="3"/>
      <c r="K8" s="3"/>
    </row>
    <row r="9" spans="1:11" ht="12.75" customHeight="1" x14ac:dyDescent="0.2">
      <c r="A9" s="3"/>
      <c r="B9" s="53" t="s">
        <v>26</v>
      </c>
      <c r="C9" s="12">
        <v>170</v>
      </c>
      <c r="D9" s="22">
        <f t="shared" si="0"/>
        <v>170</v>
      </c>
      <c r="E9" s="23">
        <v>73</v>
      </c>
      <c r="F9" s="58">
        <f t="shared" si="1"/>
        <v>12410</v>
      </c>
      <c r="G9" s="63"/>
      <c r="H9" s="26">
        <v>120</v>
      </c>
      <c r="I9" s="19" t="s">
        <v>19</v>
      </c>
      <c r="J9" s="3"/>
      <c r="K9" s="3"/>
    </row>
    <row r="10" spans="1:11" ht="12.75" customHeight="1" x14ac:dyDescent="0.2">
      <c r="A10" s="3"/>
      <c r="B10" s="54" t="s">
        <v>45</v>
      </c>
      <c r="C10" s="5">
        <v>10</v>
      </c>
      <c r="D10" s="24">
        <f t="shared" si="0"/>
        <v>10</v>
      </c>
      <c r="E10" s="25">
        <v>95</v>
      </c>
      <c r="F10" s="59">
        <f t="shared" si="1"/>
        <v>950</v>
      </c>
      <c r="G10" s="64"/>
      <c r="H10" s="26">
        <v>56</v>
      </c>
      <c r="I10" s="19" t="s">
        <v>29</v>
      </c>
      <c r="J10" s="3"/>
      <c r="K10" s="3"/>
    </row>
    <row r="11" spans="1:11" ht="12.75" customHeight="1" x14ac:dyDescent="0.2">
      <c r="A11" s="3"/>
      <c r="B11" s="73" t="s">
        <v>44</v>
      </c>
      <c r="C11" s="74">
        <v>1</v>
      </c>
      <c r="D11" s="75">
        <f t="shared" si="0"/>
        <v>1</v>
      </c>
      <c r="E11" s="76">
        <v>123</v>
      </c>
      <c r="F11" s="77">
        <f t="shared" si="1"/>
        <v>123</v>
      </c>
      <c r="G11" s="78"/>
      <c r="H11" s="79">
        <v>35</v>
      </c>
      <c r="I11" s="80">
        <v>1500</v>
      </c>
      <c r="J11" s="81" t="s">
        <v>8</v>
      </c>
      <c r="K11" s="80"/>
    </row>
    <row r="12" spans="1:11" ht="12.75" customHeight="1" x14ac:dyDescent="0.2">
      <c r="A12" s="3"/>
      <c r="B12" s="73" t="s">
        <v>43</v>
      </c>
      <c r="C12" s="74">
        <v>20</v>
      </c>
      <c r="D12" s="75">
        <f>C12*6</f>
        <v>120</v>
      </c>
      <c r="E12" s="76">
        <v>48</v>
      </c>
      <c r="F12" s="77">
        <f t="shared" si="1"/>
        <v>5760</v>
      </c>
      <c r="G12" s="78"/>
      <c r="H12" s="79">
        <v>35</v>
      </c>
      <c r="I12" s="80">
        <v>1950</v>
      </c>
      <c r="J12" s="81" t="s">
        <v>9</v>
      </c>
      <c r="K12" s="80"/>
    </row>
    <row r="13" spans="1:11" ht="12.75" customHeight="1" x14ac:dyDescent="0.2">
      <c r="A13" s="3"/>
      <c r="B13" s="55" t="s">
        <v>37</v>
      </c>
      <c r="C13" s="69"/>
      <c r="D13" s="70">
        <f>H26</f>
        <v>2450</v>
      </c>
      <c r="E13" s="71">
        <f>F13/D13</f>
        <v>44.206653061224493</v>
      </c>
      <c r="F13" s="72">
        <f>SUM(F5:F12)</f>
        <v>108306.3</v>
      </c>
      <c r="G13" s="78"/>
      <c r="H13" s="79">
        <v>40</v>
      </c>
      <c r="I13" s="80">
        <v>2450</v>
      </c>
      <c r="J13" s="81" t="s">
        <v>10</v>
      </c>
      <c r="K13" s="80"/>
    </row>
    <row r="14" spans="1:11" ht="12.75" customHeight="1" x14ac:dyDescent="0.2">
      <c r="A14" s="3"/>
      <c r="B14" s="67" t="str">
        <f>IF(D13&gt;H5, "Overweight by:", "Underweight by:")</f>
        <v>Underweight by:</v>
      </c>
      <c r="C14" s="68">
        <f>H5-D13</f>
        <v>0</v>
      </c>
      <c r="D14" s="3"/>
      <c r="E14" s="3"/>
      <c r="F14" s="3"/>
      <c r="G14" s="80"/>
      <c r="H14" s="79">
        <v>47.3</v>
      </c>
      <c r="I14" s="80">
        <v>2450</v>
      </c>
      <c r="J14" s="81" t="s">
        <v>11</v>
      </c>
      <c r="K14" s="80" t="s">
        <v>7</v>
      </c>
    </row>
    <row r="15" spans="1:11" ht="12.75" customHeight="1" x14ac:dyDescent="0.2">
      <c r="A15" s="3"/>
      <c r="B15" s="39" t="s">
        <v>36</v>
      </c>
      <c r="C15" s="27"/>
      <c r="D15" s="27"/>
      <c r="E15" s="27"/>
      <c r="F15" s="40"/>
      <c r="G15" s="82"/>
      <c r="H15" s="79">
        <v>47.3</v>
      </c>
      <c r="I15" s="80">
        <v>1500</v>
      </c>
      <c r="J15" s="81" t="s">
        <v>20</v>
      </c>
      <c r="K15" s="80"/>
    </row>
    <row r="16" spans="1:11" ht="12.75" customHeight="1" x14ac:dyDescent="0.2">
      <c r="A16" s="3"/>
      <c r="B16" s="41" t="str">
        <f>IF(D13&gt;H5,"Warning: Maximum Gross Weight Exceeded","")</f>
        <v/>
      </c>
      <c r="C16" s="42"/>
      <c r="D16" s="42"/>
      <c r="E16" s="43"/>
      <c r="F16" s="44"/>
      <c r="G16" s="83"/>
      <c r="H16" s="79">
        <v>36.5</v>
      </c>
      <c r="I16" s="80">
        <v>2100</v>
      </c>
      <c r="J16" s="81" t="s">
        <v>22</v>
      </c>
      <c r="K16" s="80"/>
    </row>
    <row r="17" spans="1:11" ht="12.75" customHeight="1" x14ac:dyDescent="0.2">
      <c r="A17" s="3"/>
      <c r="B17" s="41" t="str">
        <f>IF(C10&gt;H9,"Warning: Too Much Baggage","")</f>
        <v/>
      </c>
      <c r="C17" s="42"/>
      <c r="D17" s="42"/>
      <c r="E17" s="42"/>
      <c r="F17" s="45"/>
      <c r="G17" s="82"/>
      <c r="H17" s="79">
        <v>40.5</v>
      </c>
      <c r="I17" s="80">
        <v>2100</v>
      </c>
      <c r="J17" s="81" t="s">
        <v>23</v>
      </c>
      <c r="K17" s="80"/>
    </row>
    <row r="18" spans="1:11" ht="12.75" customHeight="1" x14ac:dyDescent="0.2">
      <c r="A18" s="3"/>
      <c r="B18" s="41" t="str">
        <f>IF(MAX(E13)&gt;H15,"Warning: C.G. Too Far Aft","")&amp;IF(OR(E24,E25,E26),"Warning: C.G. Too Far Forward","")</f>
        <v/>
      </c>
      <c r="C18" s="42"/>
      <c r="D18" s="42"/>
      <c r="E18" s="43"/>
      <c r="F18" s="44"/>
      <c r="G18" s="83"/>
      <c r="H18" s="79">
        <v>40.5</v>
      </c>
      <c r="I18" s="80">
        <v>1500</v>
      </c>
      <c r="J18" s="81" t="s">
        <v>24</v>
      </c>
      <c r="K18" s="80"/>
    </row>
    <row r="19" spans="1:11" ht="12.75" customHeight="1" x14ac:dyDescent="0.2">
      <c r="A19" s="3"/>
      <c r="B19" s="46" t="str">
        <f>IF(C12&gt;H10,"Error: Too Much Fuel","")&amp;IF(C12&lt;F27,"Warning: Low Fuel","")</f>
        <v/>
      </c>
      <c r="C19" s="16"/>
      <c r="D19" s="16"/>
      <c r="E19" s="47"/>
      <c r="F19" s="48"/>
      <c r="G19" s="83"/>
      <c r="H19" s="80">
        <f>D5</f>
        <v>1639</v>
      </c>
      <c r="I19" s="84">
        <f t="shared" ref="I19:I26" si="2">J19/H19</f>
        <v>39.092922513727885</v>
      </c>
      <c r="J19" s="84">
        <f>F5</f>
        <v>64073.3</v>
      </c>
      <c r="K19" s="80"/>
    </row>
    <row r="20" spans="1:11" ht="12.75" customHeight="1" x14ac:dyDescent="0.2">
      <c r="A20" s="3"/>
      <c r="B20" s="88" t="s">
        <v>46</v>
      </c>
      <c r="C20" s="33"/>
      <c r="D20" s="33"/>
      <c r="E20" s="33"/>
      <c r="F20" s="33"/>
      <c r="G20" s="85"/>
      <c r="H20" s="80">
        <f t="shared" ref="H20:H24" si="3">D6+H19</f>
        <v>1809</v>
      </c>
      <c r="I20" s="84">
        <f t="shared" si="2"/>
        <v>38.896241017136539</v>
      </c>
      <c r="J20" s="84">
        <f t="shared" ref="J20:J24" si="4">F6+J19</f>
        <v>70363.3</v>
      </c>
      <c r="K20" s="80"/>
    </row>
    <row r="21" spans="1:11" ht="12.75" customHeight="1" thickBot="1" x14ac:dyDescent="0.25">
      <c r="A21" s="3"/>
      <c r="B21" s="33"/>
      <c r="C21" s="31"/>
      <c r="D21" s="31"/>
      <c r="E21" s="31"/>
      <c r="F21" s="31"/>
      <c r="G21" s="86"/>
      <c r="H21" s="80">
        <f t="shared" si="3"/>
        <v>1979</v>
      </c>
      <c r="I21" s="84">
        <f t="shared" si="2"/>
        <v>38.733350176857002</v>
      </c>
      <c r="J21" s="84">
        <f t="shared" si="4"/>
        <v>76653.3</v>
      </c>
      <c r="K21" s="80"/>
    </row>
    <row r="22" spans="1:11" ht="12.75" customHeight="1" x14ac:dyDescent="0.2">
      <c r="A22" s="3"/>
      <c r="B22" s="10" t="s">
        <v>27</v>
      </c>
      <c r="C22" s="34"/>
      <c r="D22" s="35"/>
      <c r="E22" s="33"/>
      <c r="F22" s="33"/>
      <c r="G22" s="85"/>
      <c r="H22" s="80">
        <f t="shared" si="3"/>
        <v>2149</v>
      </c>
      <c r="I22" s="84">
        <f t="shared" si="2"/>
        <v>41.444067007910661</v>
      </c>
      <c r="J22" s="84">
        <f t="shared" si="4"/>
        <v>89063.3</v>
      </c>
      <c r="K22" s="80"/>
    </row>
    <row r="23" spans="1:11" ht="12.75" customHeight="1" x14ac:dyDescent="0.2">
      <c r="A23" s="3"/>
      <c r="B23" s="11" t="s">
        <v>30</v>
      </c>
      <c r="C23" s="36" t="s">
        <v>31</v>
      </c>
      <c r="D23" s="37"/>
      <c r="E23" s="31"/>
      <c r="F23" s="31"/>
      <c r="G23" s="86"/>
      <c r="H23" s="80">
        <f t="shared" si="3"/>
        <v>2319</v>
      </c>
      <c r="I23" s="84">
        <f t="shared" si="2"/>
        <v>43.757352307028896</v>
      </c>
      <c r="J23" s="84">
        <f t="shared" si="4"/>
        <v>101473.3</v>
      </c>
      <c r="K23" s="80"/>
    </row>
    <row r="24" spans="1:11" ht="12.75" customHeight="1" x14ac:dyDescent="0.2">
      <c r="A24" s="3"/>
      <c r="B24" s="11" t="s">
        <v>42</v>
      </c>
      <c r="C24" s="36" t="s">
        <v>32</v>
      </c>
      <c r="D24" s="37"/>
      <c r="E24" s="28" t="b">
        <f>E13&lt;H12</f>
        <v>0</v>
      </c>
      <c r="F24" s="29" t="s">
        <v>12</v>
      </c>
      <c r="G24" s="81"/>
      <c r="H24" s="80">
        <f t="shared" si="3"/>
        <v>2329</v>
      </c>
      <c r="I24" s="84">
        <f t="shared" si="2"/>
        <v>43.977372262773727</v>
      </c>
      <c r="J24" s="84">
        <f t="shared" si="4"/>
        <v>102423.3</v>
      </c>
      <c r="K24" s="80"/>
    </row>
    <row r="25" spans="1:11" ht="12.75" customHeight="1" x14ac:dyDescent="0.2">
      <c r="A25" s="3"/>
      <c r="B25" s="11" t="s">
        <v>33</v>
      </c>
      <c r="C25" s="36" t="s">
        <v>34</v>
      </c>
      <c r="D25" s="37"/>
      <c r="E25" s="28" t="b">
        <f>OR(AND(D13&lt;I13,D13&gt;(I12+(I13-I12)*(E13-H12)/(H13-H12))))</f>
        <v>0</v>
      </c>
      <c r="F25" s="29" t="s">
        <v>13</v>
      </c>
      <c r="G25" s="81"/>
      <c r="H25" s="80">
        <f>D11+H24</f>
        <v>2330</v>
      </c>
      <c r="I25" s="84">
        <f t="shared" si="2"/>
        <v>44.011287553648067</v>
      </c>
      <c r="J25" s="84">
        <f>F11+J24</f>
        <v>102546.3</v>
      </c>
      <c r="K25" s="80"/>
    </row>
    <row r="26" spans="1:11" ht="12.75" customHeight="1" x14ac:dyDescent="0.2">
      <c r="A26" s="3"/>
      <c r="B26" s="11" t="s">
        <v>39</v>
      </c>
      <c r="C26" s="36" t="s">
        <v>40</v>
      </c>
      <c r="D26" s="37"/>
      <c r="E26" s="28" t="b">
        <f>OR(AND(D13&lt;I14,D13&gt;(I13+(I14-I13)*(E13-H13)/(H14-H13))))</f>
        <v>0</v>
      </c>
      <c r="F26" s="29" t="s">
        <v>14</v>
      </c>
      <c r="G26" s="81"/>
      <c r="H26" s="80">
        <f>D12+H25</f>
        <v>2450</v>
      </c>
      <c r="I26" s="84">
        <f t="shared" si="2"/>
        <v>44.206653061224493</v>
      </c>
      <c r="J26" s="84">
        <f>F12+J25</f>
        <v>108306.3</v>
      </c>
      <c r="K26" s="80"/>
    </row>
    <row r="27" spans="1:11" ht="12.75" customHeight="1" thickBot="1" x14ac:dyDescent="0.25">
      <c r="A27" s="3"/>
      <c r="B27" s="15" t="s">
        <v>38</v>
      </c>
      <c r="C27" s="38" t="s">
        <v>35</v>
      </c>
      <c r="D27" s="13"/>
      <c r="E27" s="3"/>
      <c r="F27" s="28">
        <v>4.2</v>
      </c>
      <c r="G27" s="80"/>
      <c r="H27" s="80"/>
      <c r="I27" s="80"/>
      <c r="J27" s="80"/>
      <c r="K27" s="80"/>
    </row>
    <row r="28" spans="1:11" ht="12.75" customHeight="1" x14ac:dyDescent="0.2">
      <c r="A28" s="3"/>
      <c r="B28" s="49"/>
      <c r="C28" s="49"/>
      <c r="D28" s="3"/>
      <c r="E28" s="3"/>
      <c r="F28" s="50"/>
      <c r="G28" s="87"/>
      <c r="H28" s="80"/>
      <c r="I28" s="80"/>
      <c r="J28" s="80"/>
      <c r="K28" s="80"/>
    </row>
  </sheetData>
  <sheetProtection password="D8A3" sheet="1" objects="1" scenarios="1" formatCells="0"/>
  <phoneticPr fontId="0" type="noConversion"/>
  <printOptions horizontalCentered="1"/>
  <pageMargins left="0.5" right="0" top="1.31" bottom="0.17" header="0.5" footer="0.5"/>
  <pageSetup scale="94" orientation="landscape" horizontalDpi="4294967292" verticalDpi="4294967292" r:id="rId1"/>
  <headerFooter alignWithMargins="0"/>
  <ignoredErrors>
    <ignoredError sqref="I19:I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WBWorksheet</vt:lpstr>
      <vt:lpstr>WBWorksheet!Obszar_wydruku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Cessna 172R</dc:title>
  <dc:subject>Weight &amp; Balance</dc:subject>
  <dc:creator>karol</dc:creator>
  <cp:lastModifiedBy>Karol Maśluszczak</cp:lastModifiedBy>
  <cp:lastPrinted>2003-11-14T23:44:10Z</cp:lastPrinted>
  <dcterms:created xsi:type="dcterms:W3CDTF">1997-06-23T20:51:56Z</dcterms:created>
  <dcterms:modified xsi:type="dcterms:W3CDTF">2013-11-29T10:13:58Z</dcterms:modified>
</cp:coreProperties>
</file>